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oxanne\Documents\"/>
    </mc:Choice>
  </mc:AlternateContent>
  <workbookProtection workbookAlgorithmName="SHA-512" workbookHashValue="shl2GoSdPDWwVjC79r32B7wtjBXqY96HPcSW1x5ca4UWhOgzPsYHUg/zc4js5Ap9sn9VUCaMwu4kkPnk4vEavg==" workbookSaltValue="l+MZSQKhcwbFM1GXtkeYAA==" workbookSpinCount="100000" lockStructure="1"/>
  <bookViews>
    <workbookView xWindow="0" yWindow="0" windowWidth="25395" windowHeight="11325"/>
  </bookViews>
  <sheets>
    <sheet name="Calculator" sheetId="8" r:id="rId1"/>
    <sheet name="CWCWD MM" sheetId="5" state="hidden" r:id="rId2"/>
    <sheet name="Firestone Calculator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B39" i="8"/>
  <c r="B37" i="8"/>
  <c r="B36" i="8"/>
  <c r="B35" i="8"/>
  <c r="B34" i="8"/>
  <c r="B29" i="8"/>
  <c r="B19" i="8"/>
  <c r="D32" i="5"/>
  <c r="D31" i="5"/>
  <c r="D30" i="5"/>
  <c r="D29" i="5"/>
  <c r="D28" i="5"/>
  <c r="D27" i="5"/>
  <c r="D26" i="5"/>
  <c r="D25" i="5"/>
  <c r="O20" i="5"/>
  <c r="O21" i="5" s="1"/>
  <c r="M20" i="5"/>
  <c r="M21" i="5" s="1"/>
  <c r="L31" i="5" s="1"/>
  <c r="D33" i="5" l="1"/>
  <c r="C2" i="5" s="1"/>
  <c r="B13" i="5"/>
  <c r="B15" i="5" s="1"/>
  <c r="M27" i="5"/>
  <c r="C8" i="5"/>
  <c r="B9" i="5" s="1"/>
  <c r="B18" i="5"/>
  <c r="C10" i="5"/>
  <c r="B11" i="5" s="1"/>
  <c r="C9" i="5"/>
  <c r="B10" i="5" s="1"/>
  <c r="C7" i="5"/>
  <c r="G13" i="5" l="1"/>
  <c r="B8" i="5"/>
  <c r="B19" i="5"/>
  <c r="B20" i="5" s="1"/>
  <c r="B2" i="8" s="1"/>
  <c r="B18" i="4" l="1"/>
  <c r="B19" i="4" s="1"/>
  <c r="B3" i="8" s="1"/>
  <c r="B4" i="8" s="1"/>
  <c r="B10" i="4"/>
  <c r="B11" i="4"/>
  <c r="B12" i="4"/>
  <c r="B9" i="4"/>
</calcChain>
</file>

<file path=xl/sharedStrings.xml><?xml version="1.0" encoding="utf-8"?>
<sst xmlns="http://schemas.openxmlformats.org/spreadsheetml/2006/main" count="142" uniqueCount="82">
  <si>
    <t>Meter Size</t>
  </si>
  <si>
    <t>5/8 inch</t>
  </si>
  <si>
    <t>3/4 inch</t>
  </si>
  <si>
    <t>1 inch</t>
  </si>
  <si>
    <t>1-1/2 inch</t>
  </si>
  <si>
    <t>2 inch</t>
  </si>
  <si>
    <t>3 inch</t>
  </si>
  <si>
    <t>4 inch</t>
  </si>
  <si>
    <t>6 inch</t>
  </si>
  <si>
    <t>Master Meter</t>
  </si>
  <si>
    <t>Tap Equivalents (T.E.)</t>
  </si>
  <si>
    <t>Base Rate</t>
  </si>
  <si>
    <t>Per T.E.</t>
  </si>
  <si>
    <t>Tier 1</t>
  </si>
  <si>
    <t>Tier 2</t>
  </si>
  <si>
    <t>Tier 3</t>
  </si>
  <si>
    <t>Tier 4</t>
  </si>
  <si>
    <t>Tier 5</t>
  </si>
  <si>
    <t>Cost per 1000 gallons</t>
  </si>
  <si>
    <t>Input Water Use</t>
  </si>
  <si>
    <t>gallons</t>
  </si>
  <si>
    <t>Monthly Bill Calculations</t>
  </si>
  <si>
    <t>Water Rate</t>
  </si>
  <si>
    <t>Total Monthly Bill</t>
  </si>
  <si>
    <t>per T.E.**</t>
  </si>
  <si>
    <t>Select Meter Size</t>
  </si>
  <si>
    <t>Tiered Water Rates</t>
  </si>
  <si>
    <t>Low Range (gallons)</t>
  </si>
  <si>
    <t>High Range (gallons)</t>
  </si>
  <si>
    <t>Purchased Additional Water</t>
  </si>
  <si>
    <t>C-BT Units</t>
  </si>
  <si>
    <t>Total T.E.</t>
  </si>
  <si>
    <t>T.E.</t>
  </si>
  <si>
    <t>Quantity</t>
  </si>
  <si>
    <t>Grand Total</t>
  </si>
  <si>
    <t>** Budget and Quarter Taps pay the Base Rate of $27.12.</t>
  </si>
  <si>
    <t>CWCWD's Base Rate</t>
  </si>
  <si>
    <r>
      <t xml:space="preserve">CWCWD </t>
    </r>
    <r>
      <rPr>
        <b/>
        <sz val="11"/>
        <color rgb="FFFF0000"/>
        <rFont val="Calibri"/>
        <family val="2"/>
        <scheme val="minor"/>
      </rPr>
      <t>2023</t>
    </r>
    <r>
      <rPr>
        <b/>
        <sz val="11"/>
        <color theme="1"/>
        <rFont val="Calibri"/>
        <family val="2"/>
        <scheme val="minor"/>
      </rPr>
      <t xml:space="preserve"> Rate Per T.E.</t>
    </r>
  </si>
  <si>
    <r>
      <t xml:space="preserve">Firestone </t>
    </r>
    <r>
      <rPr>
        <b/>
        <sz val="11"/>
        <color rgb="FFFF0000"/>
        <rFont val="Calibri"/>
        <family val="2"/>
        <scheme val="minor"/>
      </rPr>
      <t>2022</t>
    </r>
    <r>
      <rPr>
        <b/>
        <sz val="11"/>
        <color theme="1"/>
        <rFont val="Calibri"/>
        <family val="2"/>
        <scheme val="minor"/>
      </rPr>
      <t xml:space="preserve"> Rates </t>
    </r>
  </si>
  <si>
    <t>CWCWD</t>
  </si>
  <si>
    <t>Tier Range</t>
  </si>
  <si>
    <t>Cost/1000 gallons</t>
  </si>
  <si>
    <t>Firstone</t>
  </si>
  <si>
    <t>0-2000</t>
  </si>
  <si>
    <t>Inc with Base For MM</t>
  </si>
  <si>
    <t>0-5000</t>
  </si>
  <si>
    <t>2000-4000</t>
  </si>
  <si>
    <t>5001-20000</t>
  </si>
  <si>
    <t>5000-19000</t>
  </si>
  <si>
    <t>20001 - 40000</t>
  </si>
  <si>
    <t>Above 20000</t>
  </si>
  <si>
    <t>Above 400,000</t>
  </si>
  <si>
    <t>Commercial</t>
  </si>
  <si>
    <t>Irrigation Only</t>
  </si>
  <si>
    <t>Mobile Home Parks</t>
  </si>
  <si>
    <t>Multi-Family</t>
  </si>
  <si>
    <t>Water Included with 1 T.E.</t>
  </si>
  <si>
    <t>Gallons</t>
  </si>
  <si>
    <t>Base Rate for 5/8" (1T.E.) Master Meter</t>
  </si>
  <si>
    <t>Base Residential Rate</t>
  </si>
  <si>
    <t>Water Used for Calculation</t>
  </si>
  <si>
    <t>Master Meter Base Rate</t>
  </si>
  <si>
    <t>Base Rate Reduction</t>
  </si>
  <si>
    <r>
      <t xml:space="preserve">CWCWD </t>
    </r>
    <r>
      <rPr>
        <b/>
        <sz val="11"/>
        <color rgb="FFFF0000"/>
        <rFont val="Calibri"/>
        <family val="2"/>
        <scheme val="minor"/>
      </rPr>
      <t>2023</t>
    </r>
    <r>
      <rPr>
        <b/>
        <sz val="11"/>
        <color theme="1"/>
        <rFont val="Calibri"/>
        <family val="2"/>
        <scheme val="minor"/>
      </rPr>
      <t xml:space="preserve"> Rates</t>
    </r>
  </si>
  <si>
    <r>
      <t xml:space="preserve">Firestone </t>
    </r>
    <r>
      <rPr>
        <b/>
        <sz val="11"/>
        <color rgb="FFFF0000"/>
        <rFont val="Calibri"/>
        <family val="2"/>
        <scheme val="minor"/>
      </rPr>
      <t>2022</t>
    </r>
    <r>
      <rPr>
        <b/>
        <sz val="11"/>
        <color theme="1"/>
        <rFont val="Calibri"/>
        <family val="2"/>
        <scheme val="minor"/>
      </rPr>
      <t xml:space="preserve"> Rates</t>
    </r>
  </si>
  <si>
    <t>Total</t>
  </si>
  <si>
    <t>CWCWD's Billing to Firestone</t>
  </si>
  <si>
    <t>Firestone's Billing To Resident</t>
  </si>
  <si>
    <t>The calculations are for a 5/8" tap/ 1 TE.</t>
  </si>
  <si>
    <t>Monthly Water Use in Gallons*</t>
  </si>
  <si>
    <t>* The usage must be 2,000 gallons or higher rounded to the nearest 1,000 gallons</t>
  </si>
  <si>
    <t>The following are the Tier Rates used in the calculations:</t>
  </si>
  <si>
    <t>CWCWD Rates to its Customers</t>
  </si>
  <si>
    <t>Source:  https://www.cwcwd.com/districtfees</t>
  </si>
  <si>
    <t>CWCWD Rates to the Town of Firestone</t>
  </si>
  <si>
    <t>Monthy Base Rate</t>
  </si>
  <si>
    <t>Town of Firestone Rates to its Customers</t>
  </si>
  <si>
    <t>Monthly Base Rate</t>
  </si>
  <si>
    <t>Source:  https://www.firestoneco.gov/425/Building-Permits-Fees</t>
  </si>
  <si>
    <t xml:space="preserve"> Base Rate</t>
  </si>
  <si>
    <t>INPUT WATER USAGE HERE</t>
  </si>
  <si>
    <t>Firestone's Net Profit per tap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</si>
</sst>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44" fontId="0" fillId="0" borderId="0" xfId="1" applyFont="1" applyProtection="1">
      <protection hidden="1"/>
    </xf>
    <xf numFmtId="44" fontId="0" fillId="0" borderId="0" xfId="0" applyNumberFormat="1" applyProtection="1">
      <protection hidden="1"/>
    </xf>
    <xf numFmtId="44" fontId="0" fillId="0" borderId="2" xfId="0" applyNumberFormat="1" applyBorder="1" applyProtection="1">
      <protection hidden="1"/>
    </xf>
    <xf numFmtId="44" fontId="2" fillId="0" borderId="0" xfId="0" applyNumberFormat="1" applyFont="1" applyProtection="1"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indent="3"/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hidden="1"/>
    </xf>
    <xf numFmtId="0" fontId="0" fillId="0" borderId="2" xfId="0" applyBorder="1"/>
    <xf numFmtId="2" fontId="3" fillId="0" borderId="3" xfId="0" applyNumberFormat="1" applyFont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5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2" fontId="0" fillId="0" borderId="9" xfId="0" applyNumberFormat="1" applyBorder="1" applyProtection="1">
      <protection hidden="1"/>
    </xf>
    <xf numFmtId="1" fontId="0" fillId="0" borderId="7" xfId="0" applyNumberFormat="1" applyBorder="1" applyProtection="1">
      <protection hidden="1"/>
    </xf>
    <xf numFmtId="1" fontId="0" fillId="0" borderId="10" xfId="0" applyNumberFormat="1" applyBorder="1" applyProtection="1">
      <protection hidden="1"/>
    </xf>
    <xf numFmtId="44" fontId="0" fillId="0" borderId="8" xfId="1" applyFont="1" applyBorder="1" applyProtection="1">
      <protection hidden="1"/>
    </xf>
    <xf numFmtId="44" fontId="0" fillId="0" borderId="11" xfId="1" applyFont="1" applyBorder="1" applyProtection="1">
      <protection hidden="1"/>
    </xf>
    <xf numFmtId="44" fontId="0" fillId="0" borderId="0" xfId="0" applyNumberFormat="1"/>
    <xf numFmtId="0" fontId="0" fillId="0" borderId="6" xfId="0" applyBorder="1"/>
    <xf numFmtId="0" fontId="0" fillId="0" borderId="8" xfId="0" applyBorder="1"/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4" fontId="0" fillId="0" borderId="8" xfId="1" applyFont="1" applyBorder="1"/>
    <xf numFmtId="0" fontId="0" fillId="0" borderId="1" xfId="0" applyBorder="1" applyProtection="1">
      <protection hidden="1"/>
    </xf>
    <xf numFmtId="164" fontId="0" fillId="0" borderId="0" xfId="2" applyNumberFormat="1" applyFont="1" applyProtection="1">
      <protection hidden="1"/>
    </xf>
    <xf numFmtId="164" fontId="0" fillId="0" borderId="0" xfId="2" applyNumberFormat="1" applyFont="1" applyBorder="1" applyProtection="1">
      <protection hidden="1"/>
    </xf>
    <xf numFmtId="44" fontId="0" fillId="0" borderId="15" xfId="1" applyFont="1" applyBorder="1" applyProtection="1">
      <protection hidden="1"/>
    </xf>
    <xf numFmtId="43" fontId="0" fillId="0" borderId="0" xfId="0" applyNumberFormat="1"/>
    <xf numFmtId="0" fontId="0" fillId="0" borderId="16" xfId="0" applyBorder="1" applyProtection="1">
      <protection hidden="1"/>
    </xf>
    <xf numFmtId="164" fontId="0" fillId="0" borderId="17" xfId="2" applyNumberFormat="1" applyFont="1" applyBorder="1" applyProtection="1">
      <protection hidden="1"/>
    </xf>
    <xf numFmtId="0" fontId="0" fillId="0" borderId="17" xfId="0" applyBorder="1" applyProtection="1">
      <protection hidden="1"/>
    </xf>
    <xf numFmtId="44" fontId="0" fillId="0" borderId="18" xfId="1" applyFont="1" applyBorder="1" applyProtection="1">
      <protection hidden="1"/>
    </xf>
    <xf numFmtId="43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0" fontId="0" fillId="0" borderId="9" xfId="0" applyBorder="1"/>
    <xf numFmtId="0" fontId="0" fillId="0" borderId="11" xfId="0" applyBorder="1"/>
    <xf numFmtId="44" fontId="0" fillId="0" borderId="11" xfId="1" applyFont="1" applyBorder="1"/>
    <xf numFmtId="0" fontId="0" fillId="0" borderId="16" xfId="0" applyBorder="1"/>
    <xf numFmtId="44" fontId="0" fillId="0" borderId="18" xfId="1" applyFont="1" applyBorder="1"/>
    <xf numFmtId="44" fontId="0" fillId="0" borderId="19" xfId="1" applyFont="1" applyFill="1" applyBorder="1"/>
    <xf numFmtId="164" fontId="0" fillId="0" borderId="0" xfId="2" applyNumberFormat="1" applyFont="1" applyAlignment="1" applyProtection="1">
      <alignment horizontal="center"/>
      <protection hidden="1"/>
    </xf>
    <xf numFmtId="164" fontId="0" fillId="0" borderId="0" xfId="2" applyNumberFormat="1" applyFont="1"/>
    <xf numFmtId="9" fontId="0" fillId="0" borderId="0" xfId="0" applyNumberFormat="1" applyAlignment="1" applyProtection="1">
      <alignment horizontal="center"/>
      <protection hidden="1"/>
    </xf>
    <xf numFmtId="0" fontId="0" fillId="0" borderId="21" xfId="0" applyBorder="1"/>
    <xf numFmtId="44" fontId="3" fillId="0" borderId="11" xfId="0" applyNumberFormat="1" applyFont="1" applyBorder="1"/>
    <xf numFmtId="0" fontId="0" fillId="0" borderId="22" xfId="0" applyBorder="1"/>
    <xf numFmtId="49" fontId="0" fillId="0" borderId="0" xfId="0" applyNumberForma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7" fontId="0" fillId="0" borderId="0" xfId="1" applyNumberFormat="1" applyFont="1" applyProtection="1">
      <protection locked="0"/>
    </xf>
    <xf numFmtId="165" fontId="0" fillId="0" borderId="0" xfId="0" applyNumberFormat="1"/>
    <xf numFmtId="165" fontId="0" fillId="0" borderId="23" xfId="0" applyNumberFormat="1" applyBorder="1"/>
    <xf numFmtId="165" fontId="7" fillId="0" borderId="0" xfId="0" applyNumberFormat="1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7" xfId="0" applyBorder="1"/>
    <xf numFmtId="44" fontId="0" fillId="0" borderId="8" xfId="1" applyFont="1" applyBorder="1" applyProtection="1"/>
    <xf numFmtId="0" fontId="0" fillId="0" borderId="10" xfId="0" applyBorder="1"/>
    <xf numFmtId="44" fontId="0" fillId="0" borderId="11" xfId="1" applyFont="1" applyBorder="1" applyProtection="1"/>
    <xf numFmtId="2" fontId="0" fillId="0" borderId="0" xfId="0" applyNumberFormat="1" applyProtection="1">
      <protection hidden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2"/>
  <sheetViews>
    <sheetView tabSelected="1" workbookViewId="0">
      <selection activeCell="B40" sqref="B40"/>
    </sheetView>
  </sheetViews>
  <sheetFormatPr defaultRowHeight="15" x14ac:dyDescent="0.25"/>
  <cols>
    <col min="1" max="1" width="73.7109375" style="7" bestFit="1" customWidth="1"/>
    <col min="2" max="2" width="23.42578125" style="7" customWidth="1"/>
    <col min="3" max="3" width="25.140625" style="7" customWidth="1"/>
    <col min="4" max="4" width="19.7109375" style="7" bestFit="1" customWidth="1"/>
    <col min="5" max="5" width="15.85546875" style="7" customWidth="1"/>
    <col min="6" max="6" width="17.140625" style="7" customWidth="1"/>
    <col min="7" max="7" width="16.7109375" style="7" bestFit="1" customWidth="1"/>
    <col min="8" max="16384" width="9.140625" style="7"/>
  </cols>
  <sheetData>
    <row r="1" spans="1:4" x14ac:dyDescent="0.25">
      <c r="A1" s="7" t="s">
        <v>69</v>
      </c>
      <c r="B1" s="56">
        <v>5000</v>
      </c>
      <c r="C1" s="57" t="s">
        <v>80</v>
      </c>
    </row>
    <row r="2" spans="1:4" x14ac:dyDescent="0.25">
      <c r="A2" s="58" t="s">
        <v>66</v>
      </c>
      <c r="B2" s="61">
        <f>'CWCWD MM'!B20</f>
        <v>19.847999999999999</v>
      </c>
    </row>
    <row r="3" spans="1:4" x14ac:dyDescent="0.25">
      <c r="A3" s="58" t="s">
        <v>67</v>
      </c>
      <c r="B3" s="62">
        <f>'Firestone Calculator'!B19</f>
        <v>63.18</v>
      </c>
    </row>
    <row r="4" spans="1:4" ht="23.25" x14ac:dyDescent="0.35">
      <c r="A4" s="59" t="s">
        <v>81</v>
      </c>
      <c r="B4" s="63">
        <f>B3-B2</f>
        <v>43.332000000000001</v>
      </c>
    </row>
    <row r="5" spans="1:4" customFormat="1" x14ac:dyDescent="0.25"/>
    <row r="6" spans="1:4" customFormat="1" x14ac:dyDescent="0.25">
      <c r="A6" t="s">
        <v>70</v>
      </c>
    </row>
    <row r="7" spans="1:4" customFormat="1" x14ac:dyDescent="0.25">
      <c r="A7" t="s">
        <v>68</v>
      </c>
    </row>
    <row r="8" spans="1:4" customFormat="1" x14ac:dyDescent="0.25"/>
    <row r="9" spans="1:4" customFormat="1" x14ac:dyDescent="0.25">
      <c r="A9" t="s">
        <v>71</v>
      </c>
    </row>
    <row r="10" spans="1:4" customFormat="1" x14ac:dyDescent="0.25"/>
    <row r="11" spans="1:4" customFormat="1" ht="15.75" hidden="1" thickBot="1" x14ac:dyDescent="0.3">
      <c r="A11" s="12" t="s">
        <v>72</v>
      </c>
      <c r="C11" t="s">
        <v>73</v>
      </c>
    </row>
    <row r="12" spans="1:4" customFormat="1" hidden="1" x14ac:dyDescent="0.25">
      <c r="A12" s="64" t="s">
        <v>26</v>
      </c>
      <c r="B12" s="65" t="s">
        <v>27</v>
      </c>
      <c r="C12" s="65" t="s">
        <v>28</v>
      </c>
      <c r="D12" s="66" t="s">
        <v>18</v>
      </c>
    </row>
    <row r="13" spans="1:4" customFormat="1" hidden="1" x14ac:dyDescent="0.25">
      <c r="A13" s="26" t="s">
        <v>13</v>
      </c>
      <c r="B13" s="67">
        <v>0</v>
      </c>
      <c r="C13" s="67">
        <v>4000</v>
      </c>
      <c r="D13" s="68">
        <v>3</v>
      </c>
    </row>
    <row r="14" spans="1:4" customFormat="1" hidden="1" x14ac:dyDescent="0.25">
      <c r="A14" s="26" t="s">
        <v>14</v>
      </c>
      <c r="B14" s="67">
        <v>5000</v>
      </c>
      <c r="C14" s="67">
        <v>19000</v>
      </c>
      <c r="D14" s="68">
        <v>3.7</v>
      </c>
    </row>
    <row r="15" spans="1:4" customFormat="1" hidden="1" x14ac:dyDescent="0.25">
      <c r="A15" s="26" t="s">
        <v>15</v>
      </c>
      <c r="B15" s="67">
        <v>20000</v>
      </c>
      <c r="C15" s="67">
        <v>59000</v>
      </c>
      <c r="D15" s="68">
        <v>4.5</v>
      </c>
    </row>
    <row r="16" spans="1:4" customFormat="1" hidden="1" x14ac:dyDescent="0.25">
      <c r="A16" s="26" t="s">
        <v>16</v>
      </c>
      <c r="B16" s="67">
        <v>60000</v>
      </c>
      <c r="C16" s="67">
        <v>149000</v>
      </c>
      <c r="D16" s="68">
        <v>5.3</v>
      </c>
    </row>
    <row r="17" spans="1:4" customFormat="1" ht="15.75" hidden="1" thickBot="1" x14ac:dyDescent="0.3">
      <c r="A17" s="43" t="s">
        <v>17</v>
      </c>
      <c r="B17" s="69">
        <v>150000</v>
      </c>
      <c r="C17" s="69"/>
      <c r="D17" s="70">
        <v>5.3</v>
      </c>
    </row>
    <row r="18" spans="1:4" customFormat="1" hidden="1" x14ac:dyDescent="0.25"/>
    <row r="19" spans="1:4" customFormat="1" hidden="1" x14ac:dyDescent="0.25">
      <c r="A19" t="s">
        <v>75</v>
      </c>
      <c r="B19" s="25" t="e">
        <f>#REF!</f>
        <v>#REF!</v>
      </c>
    </row>
    <row r="20" spans="1:4" customFormat="1" hidden="1" x14ac:dyDescent="0.25"/>
    <row r="21" spans="1:4" customFormat="1" ht="15.75" thickBot="1" x14ac:dyDescent="0.3">
      <c r="A21" t="s">
        <v>74</v>
      </c>
      <c r="C21" t="s">
        <v>73</v>
      </c>
    </row>
    <row r="22" spans="1:4" customFormat="1" x14ac:dyDescent="0.25">
      <c r="A22" s="64" t="s">
        <v>26</v>
      </c>
      <c r="B22" s="65" t="s">
        <v>27</v>
      </c>
      <c r="C22" s="65" t="s">
        <v>28</v>
      </c>
      <c r="D22" s="66" t="s">
        <v>18</v>
      </c>
    </row>
    <row r="23" spans="1:4" customFormat="1" x14ac:dyDescent="0.25">
      <c r="A23" s="26" t="s">
        <v>13</v>
      </c>
      <c r="B23" s="67">
        <v>0</v>
      </c>
      <c r="C23" s="67">
        <v>4000</v>
      </c>
      <c r="D23" s="68">
        <v>3</v>
      </c>
    </row>
    <row r="24" spans="1:4" customFormat="1" x14ac:dyDescent="0.25">
      <c r="A24" s="26" t="s">
        <v>14</v>
      </c>
      <c r="B24" s="67">
        <v>5000</v>
      </c>
      <c r="C24" s="67">
        <v>19000</v>
      </c>
      <c r="D24" s="68">
        <v>3.7</v>
      </c>
    </row>
    <row r="25" spans="1:4" customFormat="1" x14ac:dyDescent="0.25">
      <c r="A25" s="26" t="s">
        <v>15</v>
      </c>
      <c r="B25" s="67">
        <v>20000</v>
      </c>
      <c r="C25" s="67">
        <v>59000</v>
      </c>
      <c r="D25" s="68">
        <v>4.5</v>
      </c>
    </row>
    <row r="26" spans="1:4" customFormat="1" x14ac:dyDescent="0.25">
      <c r="A26" s="26" t="s">
        <v>16</v>
      </c>
      <c r="B26" s="67">
        <v>60000</v>
      </c>
      <c r="C26" s="67">
        <v>149000</v>
      </c>
      <c r="D26" s="68">
        <v>5.3</v>
      </c>
    </row>
    <row r="27" spans="1:4" customFormat="1" ht="15.75" thickBot="1" x14ac:dyDescent="0.3">
      <c r="A27" s="43" t="s">
        <v>17</v>
      </c>
      <c r="B27" s="69">
        <v>150000</v>
      </c>
      <c r="C27" s="69"/>
      <c r="D27" s="70">
        <v>5.3</v>
      </c>
    </row>
    <row r="28" spans="1:4" customFormat="1" x14ac:dyDescent="0.25"/>
    <row r="29" spans="1:4" customFormat="1" x14ac:dyDescent="0.25">
      <c r="A29" t="s">
        <v>75</v>
      </c>
      <c r="B29" s="25">
        <f>'CWCWD MM'!B18</f>
        <v>10.848000000000001</v>
      </c>
    </row>
    <row r="30" spans="1:4" customFormat="1" x14ac:dyDescent="0.25"/>
    <row r="31" spans="1:4" customFormat="1" ht="15.75" thickBot="1" x14ac:dyDescent="0.3">
      <c r="A31" t="s">
        <v>76</v>
      </c>
      <c r="C31" t="s">
        <v>78</v>
      </c>
    </row>
    <row r="32" spans="1:4" customFormat="1" x14ac:dyDescent="0.25">
      <c r="A32" s="16" t="s">
        <v>26</v>
      </c>
      <c r="B32" s="17" t="s">
        <v>27</v>
      </c>
      <c r="C32" s="17" t="s">
        <v>28</v>
      </c>
      <c r="D32" s="18" t="s">
        <v>18</v>
      </c>
    </row>
    <row r="33" spans="1:6" customFormat="1" x14ac:dyDescent="0.25">
      <c r="A33" s="19" t="s">
        <v>13</v>
      </c>
      <c r="B33" s="21">
        <v>0</v>
      </c>
      <c r="C33" s="21">
        <v>5000</v>
      </c>
      <c r="D33" s="23">
        <v>4.4400000000000004</v>
      </c>
    </row>
    <row r="34" spans="1:6" customFormat="1" x14ac:dyDescent="0.25">
      <c r="A34" s="19" t="s">
        <v>14</v>
      </c>
      <c r="B34" s="21">
        <f>C33+1</f>
        <v>5001</v>
      </c>
      <c r="C34" s="21">
        <v>10000</v>
      </c>
      <c r="D34" s="23">
        <v>6.65</v>
      </c>
    </row>
    <row r="35" spans="1:6" customFormat="1" x14ac:dyDescent="0.25">
      <c r="A35" s="19" t="s">
        <v>15</v>
      </c>
      <c r="B35" s="21">
        <f t="shared" ref="B35:B37" si="0">C34+1</f>
        <v>10001</v>
      </c>
      <c r="C35" s="21">
        <v>20000</v>
      </c>
      <c r="D35" s="23">
        <v>9.98</v>
      </c>
    </row>
    <row r="36" spans="1:6" customFormat="1" x14ac:dyDescent="0.25">
      <c r="A36" s="19" t="s">
        <v>16</v>
      </c>
      <c r="B36" s="21">
        <f t="shared" si="0"/>
        <v>20001</v>
      </c>
      <c r="C36" s="21">
        <v>30000</v>
      </c>
      <c r="D36" s="23">
        <v>14.96</v>
      </c>
    </row>
    <row r="37" spans="1:6" customFormat="1" ht="15.75" thickBot="1" x14ac:dyDescent="0.3">
      <c r="A37" s="20" t="s">
        <v>17</v>
      </c>
      <c r="B37" s="22">
        <f t="shared" si="0"/>
        <v>30001</v>
      </c>
      <c r="C37" s="22"/>
      <c r="D37" s="24">
        <v>22.43</v>
      </c>
    </row>
    <row r="38" spans="1:6" customFormat="1" x14ac:dyDescent="0.25"/>
    <row r="39" spans="1:6" customFormat="1" x14ac:dyDescent="0.25">
      <c r="A39" s="71" t="s">
        <v>77</v>
      </c>
      <c r="B39" s="25">
        <f>'Firestone Calculator'!B17</f>
        <v>40.98</v>
      </c>
    </row>
    <row r="41" spans="1:6" x14ac:dyDescent="0.25">
      <c r="B41" s="60"/>
      <c r="C41" s="60"/>
      <c r="D41" s="60"/>
      <c r="E41" s="60"/>
      <c r="F41" s="60"/>
    </row>
    <row r="42" spans="1:6" x14ac:dyDescent="0.25">
      <c r="B42" s="60"/>
      <c r="C42" s="60"/>
      <c r="D42" s="60"/>
      <c r="E42" s="60"/>
      <c r="F42" s="60"/>
    </row>
  </sheetData>
  <sheetProtection algorithmName="SHA-512" hashValue="CXcjej9Dm8tJYj7Gbu7VsW3eaI7KfR653PUfLrvlPglV1zCirpotrTBVa2B6Y91vXhkxfGzxd7Ceo8hspzSr1g==" saltValue="5ir4JOg2D3H1ocC3E0MA3w==" spinCount="100000" sheet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3"/>
  <sheetViews>
    <sheetView workbookViewId="0">
      <selection activeCell="B16" sqref="B16"/>
    </sheetView>
  </sheetViews>
  <sheetFormatPr defaultRowHeight="15" x14ac:dyDescent="0.25"/>
  <cols>
    <col min="1" max="1" width="27.28515625" customWidth="1"/>
    <col min="2" max="2" width="18.85546875" bestFit="1" customWidth="1"/>
    <col min="3" max="3" width="19.28515625" bestFit="1" customWidth="1"/>
    <col min="4" max="4" width="20.140625" bestFit="1" customWidth="1"/>
    <col min="7" max="7" width="15.7109375" hidden="1" customWidth="1"/>
    <col min="8" max="11" width="0" hidden="1" customWidth="1"/>
    <col min="12" max="12" width="35.85546875" hidden="1" customWidth="1"/>
    <col min="13" max="13" width="19.7109375" hidden="1" customWidth="1"/>
    <col min="14" max="14" width="25.5703125" hidden="1" customWidth="1"/>
    <col min="15" max="15" width="16.5703125" hidden="1" customWidth="1"/>
    <col min="17" max="18" width="11.5703125" bestFit="1" customWidth="1"/>
  </cols>
  <sheetData>
    <row r="1" spans="1:19" x14ac:dyDescent="0.25">
      <c r="A1" s="10" t="s">
        <v>25</v>
      </c>
      <c r="B1" s="14" t="s">
        <v>9</v>
      </c>
      <c r="C1" s="2">
        <v>1</v>
      </c>
      <c r="D1" s="2" t="s">
        <v>10</v>
      </c>
      <c r="E1" s="2"/>
      <c r="F1" s="2"/>
      <c r="G1" s="2"/>
      <c r="H1" s="2"/>
      <c r="I1" s="2"/>
      <c r="J1" s="2"/>
    </row>
    <row r="2" spans="1:19" x14ac:dyDescent="0.25">
      <c r="A2" s="2"/>
      <c r="B2" s="3" t="s">
        <v>31</v>
      </c>
      <c r="C2" s="2">
        <f>C1</f>
        <v>1</v>
      </c>
      <c r="D2" s="2" t="s">
        <v>32</v>
      </c>
      <c r="E2" s="2"/>
      <c r="F2" s="2"/>
      <c r="G2" s="2"/>
      <c r="H2" s="2"/>
      <c r="I2" s="2"/>
      <c r="J2" s="2"/>
    </row>
    <row r="3" spans="1:19" ht="15.75" thickBot="1" x14ac:dyDescent="0.3">
      <c r="A3" s="2"/>
      <c r="B3" s="3"/>
      <c r="C3" s="2"/>
      <c r="D3" s="2"/>
      <c r="E3" s="2"/>
      <c r="F3" s="2"/>
      <c r="G3" s="2"/>
      <c r="H3" s="2"/>
      <c r="I3" s="2"/>
      <c r="J3" s="2"/>
    </row>
    <row r="4" spans="1:19" x14ac:dyDescent="0.25">
      <c r="A4" s="2" t="s">
        <v>36</v>
      </c>
      <c r="B4" s="3">
        <v>27.12</v>
      </c>
      <c r="C4" s="2" t="s">
        <v>12</v>
      </c>
      <c r="D4" s="2"/>
      <c r="E4" s="2"/>
      <c r="F4" s="2"/>
      <c r="G4" s="2"/>
      <c r="H4" s="2"/>
      <c r="I4" s="2"/>
      <c r="J4" s="2"/>
      <c r="L4" s="72" t="s">
        <v>37</v>
      </c>
      <c r="M4" s="73"/>
      <c r="N4" s="72" t="s">
        <v>38</v>
      </c>
      <c r="O4" s="73"/>
    </row>
    <row r="5" spans="1:19" ht="15.75" thickBot="1" x14ac:dyDescent="0.3">
      <c r="A5" s="2"/>
      <c r="B5" s="3"/>
      <c r="C5" s="2"/>
      <c r="D5" s="2" t="s">
        <v>39</v>
      </c>
      <c r="F5" s="2"/>
      <c r="G5" s="2"/>
      <c r="H5" s="2"/>
      <c r="I5" s="2"/>
      <c r="J5" s="2"/>
      <c r="L5" s="26" t="s">
        <v>40</v>
      </c>
      <c r="M5" s="27" t="s">
        <v>41</v>
      </c>
      <c r="N5" s="26" t="s">
        <v>40</v>
      </c>
      <c r="O5" s="27" t="s">
        <v>41</v>
      </c>
    </row>
    <row r="6" spans="1:19" x14ac:dyDescent="0.25">
      <c r="A6" s="28" t="s">
        <v>26</v>
      </c>
      <c r="B6" s="29" t="s">
        <v>27</v>
      </c>
      <c r="C6" s="29" t="s">
        <v>28</v>
      </c>
      <c r="D6" s="30" t="s">
        <v>18</v>
      </c>
      <c r="F6" s="2"/>
      <c r="G6" s="2" t="s">
        <v>42</v>
      </c>
      <c r="H6" s="2"/>
      <c r="I6" s="2"/>
      <c r="J6" s="2"/>
      <c r="L6" s="26" t="s">
        <v>43</v>
      </c>
      <c r="M6" s="27" t="s">
        <v>44</v>
      </c>
      <c r="N6" s="26" t="s">
        <v>45</v>
      </c>
      <c r="O6" s="31">
        <v>3.16</v>
      </c>
    </row>
    <row r="7" spans="1:19" x14ac:dyDescent="0.25">
      <c r="A7" s="32" t="s">
        <v>13</v>
      </c>
      <c r="B7" s="33">
        <v>0</v>
      </c>
      <c r="C7" s="34">
        <f>ROUNDUP(C2*5000-1000*C2,-3)</f>
        <v>4000</v>
      </c>
      <c r="D7" s="35">
        <v>3</v>
      </c>
      <c r="F7" s="2"/>
      <c r="G7" s="2"/>
      <c r="H7" s="2"/>
      <c r="I7" s="2"/>
      <c r="J7" s="2"/>
      <c r="L7" s="26" t="s">
        <v>46</v>
      </c>
      <c r="M7" s="31">
        <v>2.25</v>
      </c>
      <c r="N7" s="26" t="s">
        <v>47</v>
      </c>
      <c r="O7" s="31">
        <v>5.57</v>
      </c>
    </row>
    <row r="8" spans="1:19" x14ac:dyDescent="0.25">
      <c r="A8" s="32" t="s">
        <v>14</v>
      </c>
      <c r="B8" s="33">
        <f>C7+1000</f>
        <v>5000</v>
      </c>
      <c r="C8" s="34">
        <f>ROUNDUP(C2*20000-1000*C2,-3)</f>
        <v>19000</v>
      </c>
      <c r="D8" s="35">
        <v>3.7</v>
      </c>
      <c r="F8" s="2"/>
      <c r="G8" s="2">
        <v>3.16</v>
      </c>
      <c r="H8" s="2"/>
      <c r="I8" s="2"/>
      <c r="J8" s="2"/>
      <c r="L8" s="26" t="s">
        <v>48</v>
      </c>
      <c r="M8" s="31">
        <v>2.5</v>
      </c>
      <c r="N8" s="26" t="s">
        <v>49</v>
      </c>
      <c r="O8" s="31">
        <v>8.91</v>
      </c>
      <c r="Q8" s="36"/>
    </row>
    <row r="9" spans="1:19" x14ac:dyDescent="0.25">
      <c r="A9" s="32" t="s">
        <v>15</v>
      </c>
      <c r="B9" s="33">
        <f>C8+1000</f>
        <v>20000</v>
      </c>
      <c r="C9" s="34">
        <f>ROUNDUP(C2*60000-1000*C2,-3)</f>
        <v>59000</v>
      </c>
      <c r="D9" s="35">
        <v>4.5</v>
      </c>
      <c r="F9" s="2"/>
      <c r="G9" s="2">
        <v>5.57</v>
      </c>
      <c r="H9" s="2"/>
      <c r="I9" s="2"/>
      <c r="J9" s="2"/>
      <c r="L9" s="26" t="s">
        <v>50</v>
      </c>
      <c r="M9" s="31">
        <v>3</v>
      </c>
      <c r="N9" s="26" t="s">
        <v>51</v>
      </c>
      <c r="O9" s="31">
        <v>11.14</v>
      </c>
      <c r="S9" s="25"/>
    </row>
    <row r="10" spans="1:19" x14ac:dyDescent="0.25">
      <c r="A10" s="32" t="s">
        <v>16</v>
      </c>
      <c r="B10" s="33">
        <f>C9+1000</f>
        <v>60000</v>
      </c>
      <c r="C10" s="34">
        <f>ROUNDUP(C2*150000-1000*C2,-3)</f>
        <v>149000</v>
      </c>
      <c r="D10" s="35">
        <v>5.3</v>
      </c>
      <c r="F10" s="2"/>
      <c r="G10" s="2">
        <v>8.9</v>
      </c>
      <c r="H10" s="2"/>
      <c r="I10" s="2"/>
      <c r="J10" s="2"/>
      <c r="L10" s="26"/>
      <c r="M10" s="27"/>
      <c r="N10" s="26" t="s">
        <v>52</v>
      </c>
      <c r="O10" s="31">
        <v>4.91</v>
      </c>
      <c r="Q10" s="25"/>
      <c r="S10" s="25"/>
    </row>
    <row r="11" spans="1:19" ht="15.75" thickBot="1" x14ac:dyDescent="0.3">
      <c r="A11" s="37" t="s">
        <v>17</v>
      </c>
      <c r="B11" s="38">
        <f>C10+1000</f>
        <v>150000</v>
      </c>
      <c r="C11" s="39"/>
      <c r="D11" s="40">
        <v>5.3</v>
      </c>
      <c r="E11" s="2"/>
      <c r="F11" s="2"/>
      <c r="G11" s="2"/>
      <c r="H11" s="2"/>
      <c r="I11" s="2"/>
      <c r="J11" s="2"/>
      <c r="L11" s="26"/>
      <c r="M11" s="27"/>
      <c r="N11" s="26" t="s">
        <v>53</v>
      </c>
      <c r="O11" s="31">
        <v>7.91</v>
      </c>
    </row>
    <row r="12" spans="1:1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L12" s="26"/>
      <c r="M12" s="27"/>
      <c r="N12" s="26" t="s">
        <v>54</v>
      </c>
      <c r="O12" s="31">
        <v>6.01</v>
      </c>
    </row>
    <row r="13" spans="1:19" ht="15.75" thickBot="1" x14ac:dyDescent="0.3">
      <c r="A13" s="10" t="s">
        <v>19</v>
      </c>
      <c r="B13" s="1">
        <f>Calculator!B1</f>
        <v>5000</v>
      </c>
      <c r="C13" s="2" t="s">
        <v>20</v>
      </c>
      <c r="D13" s="41"/>
      <c r="E13" s="2"/>
      <c r="F13" s="2"/>
      <c r="G13" s="42">
        <f>B13-C7</f>
        <v>1000</v>
      </c>
      <c r="H13" s="2"/>
      <c r="I13" s="2"/>
      <c r="J13" s="2"/>
      <c r="L13" s="43"/>
      <c r="M13" s="44"/>
      <c r="N13" s="43" t="s">
        <v>55</v>
      </c>
      <c r="O13" s="45">
        <v>4.9000000000000004</v>
      </c>
    </row>
    <row r="14" spans="1:19" ht="15.75" thickBot="1" x14ac:dyDescent="0.3">
      <c r="A14" s="10" t="s">
        <v>56</v>
      </c>
      <c r="B14">
        <v>2000</v>
      </c>
      <c r="C14" s="2" t="s">
        <v>57</v>
      </c>
      <c r="D14" s="2"/>
      <c r="E14" s="2"/>
      <c r="F14" s="2"/>
      <c r="G14" s="2"/>
      <c r="H14" s="2"/>
      <c r="I14" s="2"/>
      <c r="J14" s="2"/>
      <c r="L14" s="46" t="s">
        <v>58</v>
      </c>
      <c r="M14" s="47">
        <v>7.71</v>
      </c>
      <c r="N14" s="46" t="s">
        <v>59</v>
      </c>
      <c r="O14" s="48">
        <v>33.39</v>
      </c>
    </row>
    <row r="15" spans="1:19" x14ac:dyDescent="0.25">
      <c r="A15" s="10" t="s">
        <v>60</v>
      </c>
      <c r="B15" s="49">
        <f>IF(B13-B14*C2&lt;0,0,ROUNDDOWN(B13-B14*C2,-3))</f>
        <v>3000</v>
      </c>
      <c r="C15" s="2"/>
      <c r="D15" s="2"/>
      <c r="E15" s="2"/>
      <c r="F15" s="2"/>
      <c r="G15" s="2"/>
      <c r="H15" s="2"/>
      <c r="I15" s="2"/>
      <c r="J15" s="2"/>
    </row>
    <row r="16" spans="1:1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R16" s="50"/>
    </row>
    <row r="17" spans="1:15" ht="15.75" thickBot="1" x14ac:dyDescent="0.3">
      <c r="A17" s="9" t="s">
        <v>21</v>
      </c>
      <c r="B17" s="2"/>
      <c r="C17" s="2"/>
      <c r="D17" s="2"/>
      <c r="E17" s="2"/>
      <c r="F17" s="2"/>
      <c r="G17" s="2"/>
      <c r="H17" s="2"/>
      <c r="I17" s="2"/>
      <c r="J17" s="2"/>
    </row>
    <row r="18" spans="1:15" x14ac:dyDescent="0.25">
      <c r="A18" s="8" t="s">
        <v>61</v>
      </c>
      <c r="B18" s="4">
        <f>IF(C2&lt;1,1,C2)*B4*D19</f>
        <v>10.848000000000001</v>
      </c>
      <c r="C18" s="2" t="s">
        <v>24</v>
      </c>
      <c r="D18" s="2" t="s">
        <v>62</v>
      </c>
      <c r="E18" s="2"/>
      <c r="F18" s="2"/>
      <c r="G18" s="2"/>
      <c r="H18" s="2"/>
      <c r="I18" s="2"/>
      <c r="J18" s="2"/>
      <c r="L18" s="72" t="s">
        <v>63</v>
      </c>
      <c r="M18" s="73"/>
      <c r="N18" s="74" t="s">
        <v>64</v>
      </c>
      <c r="O18" s="73"/>
    </row>
    <row r="19" spans="1:15" ht="15.75" thickBot="1" x14ac:dyDescent="0.3">
      <c r="A19" s="8" t="s">
        <v>22</v>
      </c>
      <c r="B19" s="5">
        <f>IF(B15&lt;=C7,B15/1000*D7,IF(AND(B15&gt;C7,B15&lt;=C8),C7/1000*D7+(B15-C7)/1000*D8,IF(AND(B15&gt;C8,B15&lt;=C9),C7/1000*D7+(C8-C7)/1000*D8+(B15-C8)/1000*D9,IF(AND(B15&gt;C9,B15&lt;=C10),C7/1000*D7+(C8-C7)/1000*D8+(C9-C8)/1000*D9+(B15-C9)/1000*D10,IF(B15&gt;=B11,C7/1000*D7+(C8-C7)/1000*D8+(C9-C8)/1000*D9+(C10-C9)/1000*D10+(B15-C10)/1000*D11,"Error")))))</f>
        <v>9</v>
      </c>
      <c r="C19" s="2"/>
      <c r="D19" s="51">
        <v>0.4</v>
      </c>
      <c r="E19" s="2"/>
      <c r="G19" s="41"/>
      <c r="H19" s="2"/>
      <c r="I19" s="2"/>
      <c r="J19" s="2"/>
      <c r="L19" s="26" t="s">
        <v>11</v>
      </c>
      <c r="M19" s="31">
        <v>7.71</v>
      </c>
      <c r="N19" s="52" t="s">
        <v>11</v>
      </c>
      <c r="O19" s="31">
        <v>33.39</v>
      </c>
    </row>
    <row r="20" spans="1:15" ht="15.75" thickTop="1" x14ac:dyDescent="0.25">
      <c r="A20" s="9" t="s">
        <v>23</v>
      </c>
      <c r="B20" s="6">
        <f>B18+B19</f>
        <v>19.847999999999999</v>
      </c>
      <c r="C20" s="2"/>
      <c r="D20" s="2"/>
      <c r="E20" s="2"/>
      <c r="F20" s="2"/>
      <c r="G20" s="2"/>
      <c r="H20" s="2"/>
      <c r="I20" s="2"/>
      <c r="J20" s="2"/>
      <c r="L20" s="26" t="s">
        <v>22</v>
      </c>
      <c r="M20" s="31">
        <f>12*1.92</f>
        <v>23.04</v>
      </c>
      <c r="N20" s="52" t="s">
        <v>22</v>
      </c>
      <c r="O20" s="31">
        <f>5*3.16+9*5.57</f>
        <v>65.930000000000007</v>
      </c>
    </row>
    <row r="21" spans="1:15" ht="15.75" thickBo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L21" s="43" t="s">
        <v>65</v>
      </c>
      <c r="M21" s="53">
        <f>SUM(M19:M20)</f>
        <v>30.75</v>
      </c>
      <c r="N21" s="54" t="s">
        <v>65</v>
      </c>
      <c r="O21" s="53">
        <f>SUM(O19:O20)</f>
        <v>99.320000000000007</v>
      </c>
    </row>
    <row r="22" spans="1:15" x14ac:dyDescent="0.25">
      <c r="A22" s="2" t="s">
        <v>35</v>
      </c>
      <c r="B22" s="2"/>
      <c r="C22" s="2"/>
      <c r="D22" s="2"/>
      <c r="E22" s="2"/>
      <c r="F22" s="2"/>
      <c r="G22" s="2"/>
      <c r="H22" s="2"/>
      <c r="I22" s="2"/>
      <c r="J22" s="2"/>
    </row>
    <row r="23" spans="1:15" x14ac:dyDescent="0.25">
      <c r="A23" s="7"/>
      <c r="B23" s="7"/>
      <c r="C23" s="7"/>
      <c r="D23" s="7"/>
    </row>
    <row r="24" spans="1:15" x14ac:dyDescent="0.25">
      <c r="A24" s="13" t="s">
        <v>0</v>
      </c>
      <c r="B24" s="13" t="s">
        <v>33</v>
      </c>
      <c r="C24" s="7" t="s">
        <v>10</v>
      </c>
      <c r="D24" s="7" t="s">
        <v>31</v>
      </c>
    </row>
    <row r="25" spans="1:15" x14ac:dyDescent="0.25">
      <c r="A25" s="55" t="s">
        <v>1</v>
      </c>
      <c r="B25" s="11">
        <v>4284</v>
      </c>
      <c r="C25" s="1">
        <v>1</v>
      </c>
      <c r="D25">
        <f>B25*C25</f>
        <v>4284</v>
      </c>
    </row>
    <row r="26" spans="1:15" x14ac:dyDescent="0.25">
      <c r="A26" s="55" t="s">
        <v>2</v>
      </c>
      <c r="B26" s="11">
        <v>41</v>
      </c>
      <c r="C26" s="1">
        <v>1.5</v>
      </c>
      <c r="D26">
        <f t="shared" ref="D26:D32" si="0">B26*C26</f>
        <v>61.5</v>
      </c>
    </row>
    <row r="27" spans="1:15" x14ac:dyDescent="0.25">
      <c r="A27" s="55" t="s">
        <v>3</v>
      </c>
      <c r="B27" s="11">
        <v>54</v>
      </c>
      <c r="C27" s="1">
        <v>2.5</v>
      </c>
      <c r="D27">
        <f t="shared" si="0"/>
        <v>135</v>
      </c>
      <c r="M27">
        <f>(O21-M21)/M21</f>
        <v>2.2299186991869919</v>
      </c>
    </row>
    <row r="28" spans="1:15" x14ac:dyDescent="0.25">
      <c r="A28" s="55" t="s">
        <v>4</v>
      </c>
      <c r="B28" s="11">
        <v>84</v>
      </c>
      <c r="C28" s="1">
        <v>5</v>
      </c>
      <c r="D28">
        <f t="shared" si="0"/>
        <v>420</v>
      </c>
    </row>
    <row r="29" spans="1:15" x14ac:dyDescent="0.25">
      <c r="A29" s="55" t="s">
        <v>5</v>
      </c>
      <c r="B29" s="11">
        <v>19</v>
      </c>
      <c r="C29" s="1">
        <v>8</v>
      </c>
      <c r="D29">
        <f t="shared" si="0"/>
        <v>152</v>
      </c>
    </row>
    <row r="30" spans="1:15" x14ac:dyDescent="0.25">
      <c r="A30" s="55" t="s">
        <v>6</v>
      </c>
      <c r="B30" s="11">
        <v>4</v>
      </c>
      <c r="C30" s="1">
        <v>15</v>
      </c>
      <c r="D30">
        <f t="shared" si="0"/>
        <v>60</v>
      </c>
    </row>
    <row r="31" spans="1:15" x14ac:dyDescent="0.25">
      <c r="A31" s="55" t="s">
        <v>7</v>
      </c>
      <c r="B31" s="11">
        <v>0</v>
      </c>
      <c r="C31" s="1">
        <v>25</v>
      </c>
      <c r="D31">
        <f t="shared" si="0"/>
        <v>0</v>
      </c>
      <c r="L31" s="25">
        <f>M21*1.75</f>
        <v>53.8125</v>
      </c>
    </row>
    <row r="32" spans="1:15" ht="15.75" thickBot="1" x14ac:dyDescent="0.3">
      <c r="A32" s="55" t="s">
        <v>8</v>
      </c>
      <c r="B32" s="11">
        <v>1</v>
      </c>
      <c r="C32" s="1">
        <v>50</v>
      </c>
      <c r="D32" s="15">
        <f t="shared" si="0"/>
        <v>50</v>
      </c>
    </row>
    <row r="33" spans="3:4" ht="15.75" thickTop="1" x14ac:dyDescent="0.25">
      <c r="C33" s="12" t="s">
        <v>34</v>
      </c>
      <c r="D33" s="12">
        <f>SUM(D25:D32)</f>
        <v>5162.5</v>
      </c>
    </row>
  </sheetData>
  <protectedRanges>
    <protectedRange sqref="B14" name="Range2" securityDescriptor="O:WDG:WDD:(A;;CC;;;S-1-5-21-892810533-959617553-4259806450-501)"/>
    <protectedRange sqref="B25:B32" name="Range1" securityDescriptor="O:WDG:WDD:(A;;CC;;;S-1-5-21-892810533-959617553-4259806450-501)"/>
    <protectedRange sqref="B1" name="Range3"/>
  </protectedRanges>
  <mergeCells count="4">
    <mergeCell ref="L4:M4"/>
    <mergeCell ref="N4:O4"/>
    <mergeCell ref="L18:M18"/>
    <mergeCell ref="N18:O18"/>
  </mergeCells>
  <dataValidations count="1">
    <dataValidation type="list" allowBlank="1" showInputMessage="1" showErrorMessage="1" errorTitle="Not a valid size" error="Not a valid size" sqref="A25:A32">
      <formula1>$C$2:$C$9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1"/>
  <sheetViews>
    <sheetView workbookViewId="0">
      <selection activeCell="E26" sqref="E26"/>
    </sheetView>
  </sheetViews>
  <sheetFormatPr defaultRowHeight="15" x14ac:dyDescent="0.25"/>
  <cols>
    <col min="1" max="1" width="51.42578125" bestFit="1" customWidth="1"/>
    <col min="2" max="2" width="18.85546875" bestFit="1" customWidth="1"/>
    <col min="3" max="3" width="19.28515625" bestFit="1" customWidth="1"/>
    <col min="4" max="4" width="20.140625" bestFit="1" customWidth="1"/>
  </cols>
  <sheetData>
    <row r="1" spans="1:4" x14ac:dyDescent="0.25">
      <c r="A1" s="10" t="s">
        <v>25</v>
      </c>
      <c r="B1" s="14" t="s">
        <v>1</v>
      </c>
      <c r="C1" s="2">
        <v>1</v>
      </c>
      <c r="D1" s="2" t="s">
        <v>10</v>
      </c>
    </row>
    <row r="2" spans="1:4" x14ac:dyDescent="0.25">
      <c r="A2" s="10" t="s">
        <v>29</v>
      </c>
      <c r="B2" s="14"/>
      <c r="C2" s="2" t="s">
        <v>30</v>
      </c>
      <c r="D2" s="2"/>
    </row>
    <row r="3" spans="1:4" x14ac:dyDescent="0.25">
      <c r="A3" s="2"/>
      <c r="B3" s="3" t="s">
        <v>31</v>
      </c>
      <c r="C3" s="2">
        <v>1</v>
      </c>
      <c r="D3" s="2" t="s">
        <v>32</v>
      </c>
    </row>
    <row r="4" spans="1:4" x14ac:dyDescent="0.25">
      <c r="A4" s="2"/>
      <c r="B4" s="3"/>
      <c r="C4" s="2"/>
      <c r="D4" s="2"/>
    </row>
    <row r="5" spans="1:4" x14ac:dyDescent="0.25">
      <c r="A5" s="2" t="s">
        <v>11</v>
      </c>
      <c r="B5" s="3">
        <v>27.12</v>
      </c>
      <c r="C5" s="2" t="s">
        <v>12</v>
      </c>
      <c r="D5" s="2"/>
    </row>
    <row r="6" spans="1:4" ht="15.75" thickBot="1" x14ac:dyDescent="0.3">
      <c r="A6" s="2"/>
      <c r="B6" s="3"/>
      <c r="C6" s="2"/>
      <c r="D6" s="2"/>
    </row>
    <row r="7" spans="1:4" x14ac:dyDescent="0.25">
      <c r="A7" s="16" t="s">
        <v>26</v>
      </c>
      <c r="B7" s="17" t="s">
        <v>27</v>
      </c>
      <c r="C7" s="17" t="s">
        <v>28</v>
      </c>
      <c r="D7" s="18" t="s">
        <v>18</v>
      </c>
    </row>
    <row r="8" spans="1:4" x14ac:dyDescent="0.25">
      <c r="A8" s="19" t="s">
        <v>13</v>
      </c>
      <c r="B8" s="21">
        <v>0</v>
      </c>
      <c r="C8" s="21">
        <v>5000</v>
      </c>
      <c r="D8" s="23">
        <v>4.4400000000000004</v>
      </c>
    </row>
    <row r="9" spans="1:4" x14ac:dyDescent="0.25">
      <c r="A9" s="19" t="s">
        <v>14</v>
      </c>
      <c r="B9" s="21">
        <f>C8+1</f>
        <v>5001</v>
      </c>
      <c r="C9" s="21">
        <v>10000</v>
      </c>
      <c r="D9" s="23">
        <v>6.65</v>
      </c>
    </row>
    <row r="10" spans="1:4" x14ac:dyDescent="0.25">
      <c r="A10" s="19" t="s">
        <v>15</v>
      </c>
      <c r="B10" s="21">
        <f t="shared" ref="B10:B12" si="0">C9+1</f>
        <v>10001</v>
      </c>
      <c r="C10" s="21">
        <v>20000</v>
      </c>
      <c r="D10" s="23">
        <v>9.98</v>
      </c>
    </row>
    <row r="11" spans="1:4" x14ac:dyDescent="0.25">
      <c r="A11" s="19" t="s">
        <v>16</v>
      </c>
      <c r="B11" s="21">
        <f t="shared" si="0"/>
        <v>20001</v>
      </c>
      <c r="C11" s="21">
        <v>30000</v>
      </c>
      <c r="D11" s="23">
        <v>14.96</v>
      </c>
    </row>
    <row r="12" spans="1:4" ht="15.75" thickBot="1" x14ac:dyDescent="0.3">
      <c r="A12" s="20" t="s">
        <v>17</v>
      </c>
      <c r="B12" s="22">
        <f t="shared" si="0"/>
        <v>30001</v>
      </c>
      <c r="C12" s="22"/>
      <c r="D12" s="24">
        <v>22.43</v>
      </c>
    </row>
    <row r="13" spans="1:4" x14ac:dyDescent="0.25">
      <c r="A13" s="2"/>
      <c r="B13" s="2"/>
      <c r="C13" s="2"/>
      <c r="D13" s="2"/>
    </row>
    <row r="14" spans="1:4" x14ac:dyDescent="0.25">
      <c r="A14" s="10" t="s">
        <v>19</v>
      </c>
      <c r="B14">
        <f>Calculator!B1</f>
        <v>5000</v>
      </c>
      <c r="C14" s="2" t="s">
        <v>20</v>
      </c>
      <c r="D14" s="2"/>
    </row>
    <row r="15" spans="1:4" x14ac:dyDescent="0.25">
      <c r="A15" s="2"/>
      <c r="B15" s="2"/>
      <c r="C15" s="2"/>
      <c r="D15" s="2"/>
    </row>
    <row r="16" spans="1:4" x14ac:dyDescent="0.25">
      <c r="A16" s="9" t="s">
        <v>21</v>
      </c>
      <c r="B16" s="2"/>
      <c r="C16" s="2"/>
      <c r="D16" s="2"/>
    </row>
    <row r="17" spans="1:4" x14ac:dyDescent="0.25">
      <c r="A17" s="8" t="s">
        <v>79</v>
      </c>
      <c r="B17" s="4">
        <v>40.98</v>
      </c>
      <c r="C17" s="2" t="s">
        <v>24</v>
      </c>
      <c r="D17" s="2"/>
    </row>
    <row r="18" spans="1:4" ht="15.75" thickBot="1" x14ac:dyDescent="0.3">
      <c r="A18" s="8" t="s">
        <v>22</v>
      </c>
      <c r="B18" s="5">
        <f>IF(B14&lt;=C8,B14/1000*D8,IF(AND(B14&gt;C8,B14&lt;=C9),C8/1000*D8+(B14-C8)/1000*D9,IF(AND(B14&gt;C9,B14&lt;=C10),C8/1000*D8+(C9-C8)/1000*D9+(B14-C9)/1000*D10,IF(AND(B14&gt;C10,B14&lt;=C11),C8/1000*D8+(C9-C8)/1000*D9+(C10-C9)/1000*D10+(B14-C10)/1000*D11,IF(B14&gt;=B12,C8/1000*D8+(C9-C8)/1000*D9+(C10-C9)/1000*D10+(C11-C10)/1000*D11+(B14-C11)/1000*D12,"Error")))))</f>
        <v>22.200000000000003</v>
      </c>
      <c r="C18" s="2"/>
      <c r="D18" s="2"/>
    </row>
    <row r="19" spans="1:4" ht="15.75" thickTop="1" x14ac:dyDescent="0.25">
      <c r="A19" s="9" t="s">
        <v>23</v>
      </c>
      <c r="B19" s="6">
        <f>B17+B18</f>
        <v>63.18</v>
      </c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 t="s">
        <v>35</v>
      </c>
      <c r="B21" s="2"/>
      <c r="C21" s="2"/>
      <c r="D21" s="2"/>
    </row>
  </sheetData>
  <protectedRanges>
    <protectedRange sqref="B1:B2" name="Range3"/>
    <protectedRange sqref="B14" name="Range2" securityDescriptor="O:WDG:WDD:(A;;CC;;;S-1-5-21-892810533-959617553-4259806450-501)"/>
  </protectedRanges>
  <dataValidations count="1">
    <dataValidation type="list" allowBlank="1" showInputMessage="1" showErrorMessage="1" errorTitle="Incorrect Meter Size" error="Incorrect Meter Size" sqref="B1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CWCWD MM</vt:lpstr>
      <vt:lpstr>Firestone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Cook</dc:creator>
  <cp:lastModifiedBy>Roxanne Garcia</cp:lastModifiedBy>
  <cp:lastPrinted>2023-07-21T06:00:37Z</cp:lastPrinted>
  <dcterms:created xsi:type="dcterms:W3CDTF">2022-07-25T14:09:45Z</dcterms:created>
  <dcterms:modified xsi:type="dcterms:W3CDTF">2025-05-13T22:11:55Z</dcterms:modified>
</cp:coreProperties>
</file>